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DI sem justificativa" sheetId="1" r:id="rId1"/>
    <sheet name="Base dados - TCU 2622_2013" sheetId="2" r:id="rId2"/>
  </sheets>
  <definedNames>
    <definedName name="_xlnm.Print_Area" localSheetId="0">'BDI sem justificativa'!$A$2:$E$47</definedName>
    <definedName name="sigla_obras">'Base dados - TCU 2622_2013'!$A$7:$A$14</definedName>
    <definedName name="sigla_sn">'Base dados - TCU 2622_2013'!$A$2:$A$3</definedName>
  </definedNames>
  <calcPr fullCalcOnLoad="1"/>
</workbook>
</file>

<file path=xl/sharedStrings.xml><?xml version="1.0" encoding="utf-8"?>
<sst xmlns="http://schemas.openxmlformats.org/spreadsheetml/2006/main" count="85" uniqueCount="64">
  <si>
    <t>Despesas Financeiras</t>
  </si>
  <si>
    <t>Administração Central</t>
  </si>
  <si>
    <t>Lucro</t>
  </si>
  <si>
    <t>COFINS</t>
  </si>
  <si>
    <t>PIS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</si>
  <si>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</si>
  <si>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</si>
  <si>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</si>
  <si>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</si>
  <si>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L = taxa de lucro.</t>
  </si>
  <si>
    <t>DESCRIÇÃO</t>
  </si>
  <si>
    <t>VALORES DE REFERÊNCIA - %</t>
  </si>
  <si>
    <t>COMPOSIÇÃO ANALÍTICA DE LDI OU BDI</t>
  </si>
  <si>
    <t>BDI ADOTADO - %</t>
  </si>
  <si>
    <t xml:space="preserve">Empreendimento: </t>
  </si>
  <si>
    <t xml:space="preserve">Proponente: </t>
  </si>
  <si>
    <t xml:space="preserve">Nº do Contrato de Repasse: </t>
  </si>
  <si>
    <t>Tipo de Obra:</t>
  </si>
  <si>
    <t>Riscos</t>
  </si>
  <si>
    <t>LIMITE BDI</t>
  </si>
  <si>
    <t>Orçamento Desonerado? (Sim ou Não)</t>
  </si>
  <si>
    <t>SIM</t>
  </si>
  <si>
    <t>Fonte da composição, valores de referência e fórmula do BDI:  Acórdão 2622/2013-TCU-Plenário</t>
  </si>
  <si>
    <t>NÃO</t>
  </si>
  <si>
    <t>MÉDIA</t>
  </si>
  <si>
    <t>Sigla S/N</t>
  </si>
  <si>
    <t>Sigla Obras</t>
  </si>
  <si>
    <t>Construção de Redes de Abastecimento de Água, Coleta de Esgoto e Construções Correlatas</t>
  </si>
  <si>
    <t>Fornecimento de Materiais e Equipamentos</t>
  </si>
  <si>
    <t>Portuárias, Marítimas e Fluviais</t>
  </si>
  <si>
    <t>Construção e Manutenção de Estações e Redes de Distribuição de Energia Elétrica</t>
  </si>
  <si>
    <t>AC</t>
  </si>
  <si>
    <t>SG</t>
  </si>
  <si>
    <t>R</t>
  </si>
  <si>
    <t>DF</t>
  </si>
  <si>
    <t>L</t>
  </si>
  <si>
    <t>ISS</t>
  </si>
  <si>
    <t>DESON.</t>
  </si>
  <si>
    <t>MÍN</t>
  </si>
  <si>
    <t>MED</t>
  </si>
  <si>
    <t>MAX</t>
  </si>
  <si>
    <t>R, S, G = taxa de risco, seguro e garantia do empreendimento;</t>
  </si>
  <si>
    <t>Construção de Praças</t>
  </si>
  <si>
    <t>Construção de Rodovias (Pavimentação Urbana)</t>
  </si>
  <si>
    <t>Construção de Ferrovias</t>
  </si>
  <si>
    <t>Construção de Edifícios e Reformas (Quadras, unidades habitacionais, escolas, restaurantes, etc)</t>
  </si>
  <si>
    <t>Base de Cálculo do ISS da Prefeitura:</t>
  </si>
  <si>
    <t>(3° Quartil)</t>
  </si>
  <si>
    <t>(1° Quartil)</t>
  </si>
  <si>
    <t>LIMITE BDI C/ DESONERAÇÃO</t>
  </si>
  <si>
    <t>BDI C/ DESN</t>
  </si>
  <si>
    <t>BDI S/ DESN</t>
  </si>
  <si>
    <t>LIMITE BDI S/ DESONERAÇÃO</t>
  </si>
  <si>
    <t>Desoneração: Lei n°13.161/2015</t>
  </si>
  <si>
    <t>Cargo:</t>
  </si>
  <si>
    <t>Resp. Tomador:</t>
  </si>
  <si>
    <t>Verificação do  BDI:</t>
  </si>
  <si>
    <t>I = taxa de tributos (Onerado: I = COFINS+PIS+ISS / Desonerado: I = COFINS+PIS+ISS+CPRB);</t>
  </si>
  <si>
    <t>Seguros e Garantias (*)</t>
  </si>
  <si>
    <t>ISS (**)</t>
  </si>
  <si>
    <t>sim</t>
  </si>
  <si>
    <t>Profissional:Antonio Carlos Rodrigues de Abreu</t>
  </si>
  <si>
    <t>CREA/CAU: 20.146/D-MG</t>
  </si>
  <si>
    <t>Construção de almoxarifado para abrigo de medicamentos na Farmácia de Minas, Rua Maria de Aguiar, s/nº, Bairro João Gonçalves da Neiva, em Piraúba, MG - CEP:36.170-000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</si>
</sst>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&quot;\ #,##0.00"/>
    <numFmt numFmtId="183" formatCode="\%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6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Times New Roman"/>
      <family val="1"/>
    </font>
    <font>
      <sz val="10"/>
      <color indexed="55"/>
      <name val="Times New Roman"/>
      <family val="1"/>
    </font>
    <font>
      <sz val="6"/>
      <color indexed="22"/>
      <name val="Times New Roman"/>
      <family val="1"/>
    </font>
    <font>
      <sz val="6"/>
      <color indexed="54"/>
      <name val="Times New Roman"/>
      <family val="1"/>
    </font>
    <font>
      <sz val="10"/>
      <color indexed="9"/>
      <name val="Times New Roman"/>
      <family val="1"/>
    </font>
    <font>
      <sz val="6"/>
      <color indexed="5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color indexed="52"/>
      <name val="Arial"/>
      <family val="0"/>
    </font>
    <font>
      <sz val="16"/>
      <color indexed="52"/>
      <name val="Arial"/>
      <family val="0"/>
    </font>
    <font>
      <b/>
      <sz val="7"/>
      <color indexed="52"/>
      <name val="Arial"/>
      <family val="0"/>
    </font>
    <font>
      <b/>
      <u val="single"/>
      <sz val="6"/>
      <color indexed="5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2" fontId="2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2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1" fillId="0" borderId="15" xfId="0" applyFont="1" applyBorder="1" applyAlignment="1">
      <alignment vertical="center" wrapText="1"/>
    </xf>
    <xf numFmtId="2" fontId="1" fillId="34" borderId="0" xfId="0" applyNumberFormat="1" applyFont="1" applyFill="1" applyBorder="1" applyAlignment="1" applyProtection="1" quotePrefix="1">
      <alignment vertical="center" wrapText="1"/>
      <protection hidden="1"/>
    </xf>
    <xf numFmtId="2" fontId="1" fillId="34" borderId="0" xfId="0" applyNumberFormat="1" applyFont="1" applyFill="1" applyBorder="1" applyAlignment="1" applyProtection="1">
      <alignment vertical="center" wrapText="1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12" fillId="35" borderId="0" xfId="0" applyFont="1" applyFill="1" applyAlignment="1" applyProtection="1">
      <alignment vertical="center" wrapText="1"/>
      <protection hidden="1"/>
    </xf>
    <xf numFmtId="0" fontId="2" fillId="0" borderId="16" xfId="0" applyFont="1" applyBorder="1" applyAlignment="1">
      <alignment vertical="center" wrapText="1"/>
    </xf>
    <xf numFmtId="0" fontId="18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2" fontId="1" fillId="0" borderId="17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 wrapText="1"/>
    </xf>
    <xf numFmtId="0" fontId="12" fillId="35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19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 hidden="1"/>
    </xf>
    <xf numFmtId="2" fontId="1" fillId="0" borderId="20" xfId="0" applyNumberFormat="1" applyFont="1" applyBorder="1" applyAlignment="1" applyProtection="1">
      <alignment horizontal="center" vertical="center" wrapText="1"/>
      <protection hidden="1"/>
    </xf>
    <xf numFmtId="2" fontId="1" fillId="0" borderId="21" xfId="0" applyNumberFormat="1" applyFont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 applyProtection="1">
      <alignment horizontal="center" vertical="center" wrapText="1"/>
      <protection hidden="1"/>
    </xf>
    <xf numFmtId="2" fontId="1" fillId="34" borderId="22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34" borderId="2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1" fillId="0" borderId="15" xfId="0" applyFont="1" applyBorder="1" applyAlignment="1">
      <alignment horizontal="left" vertical="center" wrapText="1"/>
    </xf>
    <xf numFmtId="0" fontId="8" fillId="36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2" fillId="35" borderId="0" xfId="0" applyFont="1" applyFill="1" applyAlignment="1">
      <alignment horizontal="left" vertical="center" wrapText="1"/>
    </xf>
    <xf numFmtId="9" fontId="1" fillId="36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28</xdr:row>
      <xdr:rowOff>114300</xdr:rowOff>
    </xdr:from>
    <xdr:to>
      <xdr:col>3</xdr:col>
      <xdr:colOff>76200</xdr:colOff>
      <xdr:row>31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8601075"/>
          <a:ext cx="2952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20</xdr:row>
      <xdr:rowOff>28575</xdr:rowOff>
    </xdr:from>
    <xdr:to>
      <xdr:col>14</xdr:col>
      <xdr:colOff>114300</xdr:colOff>
      <xdr:row>21</xdr:row>
      <xdr:rowOff>247650</xdr:rowOff>
    </xdr:to>
    <xdr:sp>
      <xdr:nvSpPr>
        <xdr:cNvPr id="2" name="AutoShape 23"/>
        <xdr:cNvSpPr>
          <a:spLocks/>
        </xdr:cNvSpPr>
      </xdr:nvSpPr>
      <xdr:spPr>
        <a:xfrm>
          <a:off x="7219950" y="5934075"/>
          <a:ext cx="5162550" cy="419100"/>
        </a:xfrm>
        <a:prstGeom prst="leftArrowCallou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OS PERCENTUAIS DE ISS FORAM CALCULADOS CONSIDERANDO QUE A MÃO-DE-OBRA CORRESPONDE A BASE DE CÁLCULO DO PREÇO TOTAL DA OBRA DECLARADO PELO TOMADOR.</a:t>
          </a:r>
        </a:p>
      </xdr:txBody>
    </xdr:sp>
    <xdr:clientData/>
  </xdr:twoCellAnchor>
  <xdr:twoCellAnchor>
    <xdr:from>
      <xdr:col>5</xdr:col>
      <xdr:colOff>85725</xdr:colOff>
      <xdr:row>22</xdr:row>
      <xdr:rowOff>447675</xdr:rowOff>
    </xdr:from>
    <xdr:to>
      <xdr:col>13</xdr:col>
      <xdr:colOff>257175</xdr:colOff>
      <xdr:row>23</xdr:row>
      <xdr:rowOff>161925</xdr:rowOff>
    </xdr:to>
    <xdr:sp>
      <xdr:nvSpPr>
        <xdr:cNvPr id="3" name="AutoShape 25"/>
        <xdr:cNvSpPr>
          <a:spLocks/>
        </xdr:cNvSpPr>
      </xdr:nvSpPr>
      <xdr:spPr>
        <a:xfrm>
          <a:off x="6753225" y="6934200"/>
          <a:ext cx="5162550" cy="323850"/>
        </a:xfrm>
        <a:prstGeom prst="leftArrowCallou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O VALOR DO BDI SÓ É CALCULADO APÓS O PREENCHIMENTO DE TODAS AS CÉLULAS EM AMARELO!</a:t>
          </a:r>
        </a:p>
      </xdr:txBody>
    </xdr:sp>
    <xdr:clientData/>
  </xdr:twoCellAnchor>
  <xdr:twoCellAnchor>
    <xdr:from>
      <xdr:col>0</xdr:col>
      <xdr:colOff>28575</xdr:colOff>
      <xdr:row>0</xdr:row>
      <xdr:rowOff>85725</xdr:rowOff>
    </xdr:from>
    <xdr:to>
      <xdr:col>5</xdr:col>
      <xdr:colOff>9525</xdr:colOff>
      <xdr:row>0</xdr:row>
      <xdr:rowOff>666750</xdr:rowOff>
    </xdr:to>
    <xdr:sp>
      <xdr:nvSpPr>
        <xdr:cNvPr id="4" name="AutoShape 27"/>
        <xdr:cNvSpPr>
          <a:spLocks/>
        </xdr:cNvSpPr>
      </xdr:nvSpPr>
      <xdr:spPr>
        <a:xfrm>
          <a:off x="28575" y="85725"/>
          <a:ext cx="6648450" cy="581025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**********ALTERAR SOMENTE AS CÉLULAS AMARELAS***********
</a:t>
          </a:r>
          <a:r>
            <a:rPr lang="en-US" cap="none" sz="16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(Atentar para as observações nos quadros na lateral direita!)</a:t>
          </a:r>
        </a:p>
      </xdr:txBody>
    </xdr:sp>
    <xdr:clientData/>
  </xdr:twoCellAnchor>
  <xdr:twoCellAnchor>
    <xdr:from>
      <xdr:col>7</xdr:col>
      <xdr:colOff>180975</xdr:colOff>
      <xdr:row>25</xdr:row>
      <xdr:rowOff>180975</xdr:rowOff>
    </xdr:from>
    <xdr:to>
      <xdr:col>13</xdr:col>
      <xdr:colOff>247650</xdr:colOff>
      <xdr:row>28</xdr:row>
      <xdr:rowOff>57150</xdr:rowOff>
    </xdr:to>
    <xdr:sp>
      <xdr:nvSpPr>
        <xdr:cNvPr id="5" name="AutoShape 30"/>
        <xdr:cNvSpPr>
          <a:spLocks/>
        </xdr:cNvSpPr>
      </xdr:nvSpPr>
      <xdr:spPr>
        <a:xfrm>
          <a:off x="8181975" y="8105775"/>
          <a:ext cx="3724275" cy="438150"/>
        </a:xfrm>
        <a:prstGeom prst="borderCallout2">
          <a:avLst>
            <a:gd name="adj1" fmla="val -89898"/>
            <a:gd name="adj2" fmla="val -63041"/>
            <a:gd name="adj3" fmla="val -73018"/>
            <a:gd name="adj4" fmla="val -23912"/>
            <a:gd name="adj5" fmla="val -52046"/>
            <a:gd name="adj6" fmla="val -23912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SE O BDI CALCULADO ESTIVER NO INTERVALO DE LIMITES DO BDI ESTA CÉLULA INDICARÁ "OK", CASO CONTRÁRIO INDICARÁ "INADEQUADO" E OS COMPONENTES DO BDI DEVEM SER REDISTRIBUÍDOS ATÉ QUE TODAS OS LIMITANTES ACEITOS PELO TCU SEJAM ATENDIDOS!</a:t>
          </a:r>
        </a:p>
      </xdr:txBody>
    </xdr:sp>
    <xdr:clientData/>
  </xdr:twoCellAnchor>
  <xdr:twoCellAnchor>
    <xdr:from>
      <xdr:col>0</xdr:col>
      <xdr:colOff>0</xdr:colOff>
      <xdr:row>47</xdr:row>
      <xdr:rowOff>66675</xdr:rowOff>
    </xdr:from>
    <xdr:to>
      <xdr:col>4</xdr:col>
      <xdr:colOff>1209675</xdr:colOff>
      <xdr:row>49</xdr:row>
      <xdr:rowOff>133350</xdr:rowOff>
    </xdr:to>
    <xdr:sp>
      <xdr:nvSpPr>
        <xdr:cNvPr id="6" name="AutoShape 31"/>
        <xdr:cNvSpPr>
          <a:spLocks/>
        </xdr:cNvSpPr>
      </xdr:nvSpPr>
      <xdr:spPr>
        <a:xfrm>
          <a:off x="0" y="12734925"/>
          <a:ext cx="6648450" cy="55245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OBS:
</a:t>
          </a:r>
          <a:r>
            <a:rPr lang="en-US" cap="none" sz="7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(*) - PODE HAVER GARANTIA DESDE QUE PREVISTO NO EDITAL DA LICITAÇÃO E NO CONTRATO DE EXECUÇÃO.
</a:t>
          </a:r>
          <a:r>
            <a:rPr lang="en-US" cap="none" sz="7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(**) - PODEM SER ACEITOS OUTROS PERCENTUAIS DE ISS DESDE QUE DEVIDAMENTE EMBASADOS NA LEGISLAÇÃO MUNICIPAL.</a:t>
          </a:r>
        </a:p>
      </xdr:txBody>
    </xdr:sp>
    <xdr:clientData/>
  </xdr:twoCellAnchor>
  <xdr:twoCellAnchor>
    <xdr:from>
      <xdr:col>6</xdr:col>
      <xdr:colOff>276225</xdr:colOff>
      <xdr:row>12</xdr:row>
      <xdr:rowOff>295275</xdr:rowOff>
    </xdr:from>
    <xdr:to>
      <xdr:col>19</xdr:col>
      <xdr:colOff>428625</xdr:colOff>
      <xdr:row>19</xdr:row>
      <xdr:rowOff>152400</xdr:rowOff>
    </xdr:to>
    <xdr:sp>
      <xdr:nvSpPr>
        <xdr:cNvPr id="7" name="AutoShape 34"/>
        <xdr:cNvSpPr>
          <a:spLocks/>
        </xdr:cNvSpPr>
      </xdr:nvSpPr>
      <xdr:spPr>
        <a:xfrm>
          <a:off x="7543800" y="4343400"/>
          <a:ext cx="8201025" cy="1514475"/>
        </a:xfrm>
        <a:prstGeom prst="borderCallout2">
          <a:avLst>
            <a:gd name="adj1" fmla="val -58245"/>
            <a:gd name="adj2" fmla="val -102199"/>
            <a:gd name="adj3" fmla="val -54527"/>
            <a:gd name="adj4" fmla="val -42453"/>
            <a:gd name="adj5" fmla="val -50930"/>
            <a:gd name="adj6" fmla="val -42453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Foi publicada, em 19 de julho de 2013, a Lei n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12.844/2013 que altera os artigos 7º, 8º, 9º e o Anexo I da Lei n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12.546/2011 e o artigo 14, da Lei n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11.774/2008, alterando os setores a serem beneficiados com o regime de desoneração da folha de pagamentos que substitui a contribuição previdenciária patronal de 20%, sobre o total da folha de pagamento pela contribuição previdenciária sobre a receita bruta.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Com essa alteração os setores a seguir ficam sujeitos ao recolhimento da contribuição previdenciária à alíquota de 2% sobre o valor da receita bruta.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=&gt;Construção Civil, enquadrados nos seguintes grupos da CNAE 2.0: 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- 412 – Construção de Edifícios;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- 432 – Instalações Elétricas, Hidráulicas e Outras Instalações em Construções;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- 433 – Obras de Acabamento;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- 439 – Outros Serviços Especializados para Construção (4391-6 – Obras de Fundações e 4399-1 – Serviços Especializados para Construção não especificados anteriormente).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=&gt;Construção de Obras de Infraestrutura, enquadrados nos seguintes grupos da CNAE 2.0: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- 421 – Construção de Rodovias, Ferrovias, Obras Urbanas e Obras-de-Arte Especiais;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- 422 – Obras de Infra-Estrutura para Energia Elétrica, Telecomunicações, Água, Esgoto e Transporte Por Dutos;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- 429 – Construção de Outras Obras de Infra-Estrutura;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- 431 – Demolição e Preparação do Terreno</a:t>
          </a:r>
        </a:p>
      </xdr:txBody>
    </xdr:sp>
    <xdr:clientData/>
  </xdr:twoCellAnchor>
  <xdr:twoCellAnchor>
    <xdr:from>
      <xdr:col>6</xdr:col>
      <xdr:colOff>428625</xdr:colOff>
      <xdr:row>0</xdr:row>
      <xdr:rowOff>123825</xdr:rowOff>
    </xdr:from>
    <xdr:to>
      <xdr:col>20</xdr:col>
      <xdr:colOff>171450</xdr:colOff>
      <xdr:row>12</xdr:row>
      <xdr:rowOff>228600</xdr:rowOff>
    </xdr:to>
    <xdr:sp>
      <xdr:nvSpPr>
        <xdr:cNvPr id="8" name="AutoShape 35"/>
        <xdr:cNvSpPr>
          <a:spLocks/>
        </xdr:cNvSpPr>
      </xdr:nvSpPr>
      <xdr:spPr>
        <a:xfrm>
          <a:off x="7696200" y="123825"/>
          <a:ext cx="8401050" cy="4152900"/>
        </a:xfrm>
        <a:prstGeom prst="borderCallout2">
          <a:avLst>
            <a:gd name="adj1" fmla="val -55666"/>
            <a:gd name="adj2" fmla="val 6055"/>
            <a:gd name="adj3" fmla="val -53513"/>
            <a:gd name="adj4" fmla="val -46620"/>
            <a:gd name="adj5" fmla="val -50907"/>
            <a:gd name="adj6" fmla="val -46620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=&gt; Para o tipo de obra “</a:t>
          </a:r>
          <a:r>
            <a:rPr lang="en-US" cap="none" sz="600" b="1" i="0" u="sng" baseline="0">
              <a:solidFill>
                <a:srgbClr val="FF9900"/>
              </a:solidFill>
              <a:latin typeface="Arial"/>
              <a:ea typeface="Arial"/>
              <a:cs typeface="Arial"/>
            </a:rPr>
            <a:t>Construção de Edifícios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=&gt; Para o tipo de obra “</a:t>
          </a:r>
          <a:r>
            <a:rPr lang="en-US" cap="none" sz="600" b="1" i="0" u="sng" baseline="0">
              <a:solidFill>
                <a:srgbClr val="FF9900"/>
              </a:solidFill>
              <a:latin typeface="Arial"/>
              <a:ea typeface="Arial"/>
              <a:cs typeface="Arial"/>
            </a:rPr>
            <a:t>Construção de Rodovias e Ferrovias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=&gt; Para o tipo de obra “</a:t>
          </a:r>
          <a:r>
            <a:rPr lang="en-US" cap="none" sz="600" b="1" i="0" u="sng" baseline="0">
              <a:solidFill>
                <a:srgbClr val="FF9900"/>
              </a:solidFill>
              <a:latin typeface="Arial"/>
              <a:ea typeface="Arial"/>
              <a:cs typeface="Arial"/>
            </a:rPr>
            <a:t>Construção de Redes de Abastecimento de Água, Coleta de Esgoto e Construções Correlatas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=&gt; Para o tipo de obra “</a:t>
          </a:r>
          <a:r>
            <a:rPr lang="en-US" cap="none" sz="600" b="1" i="0" u="sng" baseline="0">
              <a:solidFill>
                <a:srgbClr val="FF9900"/>
              </a:solidFill>
              <a:latin typeface="Arial"/>
              <a:ea typeface="Arial"/>
              <a:cs typeface="Arial"/>
            </a:rPr>
            <a:t>Construção e Manutenção de Estações e Redes de Distribuição de Energia Elétrica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=&gt; Para o tipo de obra “</a:t>
          </a:r>
          <a:r>
            <a:rPr lang="en-US" cap="none" sz="600" b="1" i="0" u="sng" baseline="0">
              <a:solidFill>
                <a:srgbClr val="FF9900"/>
              </a:solidFill>
              <a:latin typeface="Arial"/>
              <a:ea typeface="Arial"/>
              <a:cs typeface="Arial"/>
            </a:rPr>
            <a:t>Portuárias, Marítimas e Fluviais</a:t>
          </a:r>
          <a:r>
            <a:rPr lang="en-US" cap="none" sz="6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81"/>
  <sheetViews>
    <sheetView showGridLines="0"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36.28125" style="19" customWidth="1"/>
    <col min="2" max="2" width="15.28125" style="19" bestFit="1" customWidth="1"/>
    <col min="3" max="3" width="14.57421875" style="19" customWidth="1"/>
    <col min="4" max="4" width="15.421875" style="19" customWidth="1"/>
    <col min="5" max="5" width="18.421875" style="19" bestFit="1" customWidth="1"/>
    <col min="6" max="6" width="9.00390625" style="19" bestFit="1" customWidth="1"/>
    <col min="7" max="7" width="11.00390625" style="19" customWidth="1"/>
    <col min="8" max="16384" width="9.140625" style="19" customWidth="1"/>
  </cols>
  <sheetData>
    <row r="1" spans="1:5" s="13" customFormat="1" ht="56.25" customHeight="1">
      <c r="A1" s="71"/>
      <c r="B1" s="71"/>
      <c r="C1" s="71"/>
      <c r="D1" s="71"/>
      <c r="E1" s="71"/>
    </row>
    <row r="2" spans="1:5" s="13" customFormat="1" ht="15.75">
      <c r="A2" s="14"/>
      <c r="B2" s="14"/>
      <c r="C2" s="14"/>
      <c r="D2" s="14"/>
      <c r="E2" s="14"/>
    </row>
    <row r="3" spans="1:5" s="16" customFormat="1" ht="15.75">
      <c r="A3" s="74" t="s">
        <v>12</v>
      </c>
      <c r="B3" s="74"/>
      <c r="C3" s="74"/>
      <c r="D3" s="74"/>
      <c r="E3" s="74"/>
    </row>
    <row r="4" spans="1:5" s="16" customFormat="1" ht="9" customHeight="1">
      <c r="A4" s="15"/>
      <c r="B4" s="15"/>
      <c r="C4" s="15"/>
      <c r="D4" s="15"/>
      <c r="E4" s="15"/>
    </row>
    <row r="5" spans="1:11" s="10" customFormat="1" ht="15.75" customHeight="1">
      <c r="A5" s="53" t="s">
        <v>16</v>
      </c>
      <c r="B5" s="80"/>
      <c r="C5" s="80"/>
      <c r="D5" s="80"/>
      <c r="E5" s="80"/>
      <c r="F5" s="17"/>
      <c r="G5" s="17"/>
      <c r="H5" s="17"/>
      <c r="I5" s="17"/>
      <c r="J5" s="17"/>
      <c r="K5" s="17"/>
    </row>
    <row r="6" spans="1:11" s="10" customFormat="1" ht="15.75" customHeight="1">
      <c r="A6" s="53" t="s">
        <v>15</v>
      </c>
      <c r="B6" s="80"/>
      <c r="C6" s="80"/>
      <c r="D6" s="80"/>
      <c r="E6" s="80"/>
      <c r="F6" s="17"/>
      <c r="G6" s="17"/>
      <c r="H6" s="17"/>
      <c r="I6" s="17"/>
      <c r="J6" s="17"/>
      <c r="K6" s="17"/>
    </row>
    <row r="7" spans="1:11" s="10" customFormat="1" ht="76.5" customHeight="1">
      <c r="A7" s="53" t="s">
        <v>14</v>
      </c>
      <c r="B7" s="80" t="s">
        <v>63</v>
      </c>
      <c r="C7" s="80"/>
      <c r="D7" s="80"/>
      <c r="E7" s="80"/>
      <c r="F7" s="17"/>
      <c r="G7" s="17"/>
      <c r="H7" s="17"/>
      <c r="I7" s="17"/>
      <c r="J7" s="17"/>
      <c r="K7" s="17"/>
    </row>
    <row r="8" spans="1:11" s="10" customFormat="1" ht="33" customHeight="1">
      <c r="A8" s="53" t="s">
        <v>17</v>
      </c>
      <c r="B8" s="80" t="s">
        <v>45</v>
      </c>
      <c r="C8" s="80"/>
      <c r="D8" s="80"/>
      <c r="E8" s="80"/>
      <c r="F8" s="17" t="str">
        <f>IF(B8&lt;&gt;"","OK","PREENCHER")</f>
        <v>OK</v>
      </c>
      <c r="G8" s="17"/>
      <c r="H8" s="17"/>
      <c r="I8" s="17"/>
      <c r="J8" s="17"/>
      <c r="K8" s="17"/>
    </row>
    <row r="9" spans="1:11" s="10" customFormat="1" ht="33" customHeight="1">
      <c r="A9" s="53" t="s">
        <v>46</v>
      </c>
      <c r="B9" s="83">
        <v>1</v>
      </c>
      <c r="C9" s="83"/>
      <c r="D9" s="83"/>
      <c r="E9" s="83"/>
      <c r="F9" s="17" t="str">
        <f>IF(B9&lt;&gt;"","OK","PREENCHER")</f>
        <v>OK</v>
      </c>
      <c r="G9" s="52"/>
      <c r="H9" s="17"/>
      <c r="I9" s="17"/>
      <c r="J9" s="17"/>
      <c r="K9" s="17"/>
    </row>
    <row r="10" spans="1:11" s="10" customFormat="1" ht="19.5" customHeight="1">
      <c r="A10" s="53" t="s">
        <v>20</v>
      </c>
      <c r="B10" s="80" t="s">
        <v>60</v>
      </c>
      <c r="C10" s="80"/>
      <c r="D10" s="80"/>
      <c r="E10" s="80"/>
      <c r="F10" s="17" t="str">
        <f>IF(B10&lt;&gt;"","OK","PREENCHER")</f>
        <v>OK</v>
      </c>
      <c r="G10" s="17"/>
      <c r="H10" s="17"/>
      <c r="I10" s="17"/>
      <c r="J10" s="17"/>
      <c r="K10" s="17"/>
    </row>
    <row r="11" spans="6:11" s="10" customFormat="1" ht="9" thickBot="1">
      <c r="F11" s="17"/>
      <c r="G11" s="17"/>
      <c r="H11" s="17"/>
      <c r="I11" s="17"/>
      <c r="J11" s="17"/>
      <c r="K11" s="17"/>
    </row>
    <row r="12" spans="1:11" ht="19.5" customHeight="1">
      <c r="A12" s="75" t="s">
        <v>10</v>
      </c>
      <c r="B12" s="77" t="s">
        <v>11</v>
      </c>
      <c r="C12" s="78"/>
      <c r="D12" s="79"/>
      <c r="E12" s="72" t="s">
        <v>13</v>
      </c>
      <c r="F12" s="18"/>
      <c r="G12" s="18"/>
      <c r="H12" s="18"/>
      <c r="I12" s="18"/>
      <c r="J12" s="18"/>
      <c r="K12" s="18"/>
    </row>
    <row r="13" spans="1:11" ht="36" customHeight="1" thickBot="1">
      <c r="A13" s="76"/>
      <c r="B13" s="11" t="s">
        <v>48</v>
      </c>
      <c r="C13" s="11" t="s">
        <v>24</v>
      </c>
      <c r="D13" s="12" t="s">
        <v>47</v>
      </c>
      <c r="E13" s="73"/>
      <c r="F13" s="18"/>
      <c r="G13" s="20"/>
      <c r="H13" s="20"/>
      <c r="I13" s="20"/>
      <c r="J13" s="18"/>
      <c r="K13" s="18"/>
    </row>
    <row r="14" spans="1:11" ht="15.75">
      <c r="A14" s="21" t="s">
        <v>1</v>
      </c>
      <c r="B14" s="55">
        <f>IF(ISERROR(VLOOKUP($B$8,'Base dados - TCU 2622_2013'!$A$7:$V$14,2,)),"",VLOOKUP($B$8,'Base dados - TCU 2622_2013'!$A$7:$V$14,2,))</f>
        <v>3</v>
      </c>
      <c r="C14" s="55">
        <f>IF(ISERROR(VLOOKUP($B$8,'Base dados - TCU 2622_2013'!$A$7:$V$14,3,)),"",VLOOKUP($B$8,'Base dados - TCU 2622_2013'!$A$7:$V$14,3,))</f>
        <v>4</v>
      </c>
      <c r="D14" s="55">
        <f>IF(ISERROR(VLOOKUP($B$8,'Base dados - TCU 2622_2013'!$A$7:$V$14,4,)),"",VLOOKUP($B$8,'Base dados - TCU 2622_2013'!$A$7:$V$14,4,))</f>
        <v>5.5</v>
      </c>
      <c r="E14" s="58">
        <v>3.3</v>
      </c>
      <c r="F14" s="17" t="str">
        <f>IF(AND(E14&gt;=B14,E14&lt;=D14),"OK","PREENCHER")</f>
        <v>OK</v>
      </c>
      <c r="G14" s="22"/>
      <c r="H14" s="20"/>
      <c r="I14" s="20"/>
      <c r="J14" s="18"/>
      <c r="K14" s="18"/>
    </row>
    <row r="15" spans="1:11" ht="15.75">
      <c r="A15" s="67" t="s">
        <v>58</v>
      </c>
      <c r="B15" s="55">
        <f>IF(ISERROR(VLOOKUP($B$8,'Base dados - TCU 2622_2013'!$A$7:$V$14,5,)),"",VLOOKUP($B$8,'Base dados - TCU 2622_2013'!$A$7:$V$14,5,))</f>
        <v>0.8</v>
      </c>
      <c r="C15" s="55">
        <f>IF(ISERROR(VLOOKUP($B$8,'Base dados - TCU 2622_2013'!$A$7:$V$14,6,)),"",VLOOKUP($B$8,'Base dados - TCU 2622_2013'!$A$7:$V$14,6,))</f>
        <v>0.8</v>
      </c>
      <c r="D15" s="55">
        <f>IF(ISERROR(VLOOKUP($B$8,'Base dados - TCU 2622_2013'!$A$7:$V$14,7,)),"",VLOOKUP($B$8,'Base dados - TCU 2622_2013'!$A$7:$V$14,7,))</f>
        <v>1</v>
      </c>
      <c r="E15" s="59">
        <v>0.8</v>
      </c>
      <c r="F15" s="17" t="str">
        <f aca="true" t="shared" si="0" ref="F15:F22">IF(AND(E15&gt;=B15,E15&lt;=D15),"OK","PREENCHER")</f>
        <v>OK</v>
      </c>
      <c r="G15" s="23"/>
      <c r="H15" s="20"/>
      <c r="I15" s="20"/>
      <c r="J15" s="18"/>
      <c r="K15" s="18"/>
    </row>
    <row r="16" spans="1:11" ht="15.75">
      <c r="A16" s="67" t="s">
        <v>18</v>
      </c>
      <c r="B16" s="55">
        <f>IF(ISERROR(VLOOKUP($B$8,'Base dados - TCU 2622_2013'!$A$7:$V$14,8,)),"",VLOOKUP($B$8,'Base dados - TCU 2622_2013'!$A$7:$V$14,8,))</f>
        <v>0.97</v>
      </c>
      <c r="C16" s="55">
        <f>IF(ISERROR(VLOOKUP($B$8,'Base dados - TCU 2622_2013'!$A$7:$V$14,6,)),"",VLOOKUP($B$8,'Base dados - TCU 2622_2013'!$A$7:$V$14,9,))</f>
        <v>1.27</v>
      </c>
      <c r="D16" s="55">
        <f>IF(ISERROR(VLOOKUP($B$8,'Base dados - TCU 2622_2013'!$A$7:$V$14,7,)),"",VLOOKUP($B$8,'Base dados - TCU 2622_2013'!$A$7:$V$14,10,))</f>
        <v>1.27</v>
      </c>
      <c r="E16" s="59">
        <v>1.2</v>
      </c>
      <c r="F16" s="17" t="str">
        <f t="shared" si="0"/>
        <v>OK</v>
      </c>
      <c r="G16" s="23"/>
      <c r="H16" s="20"/>
      <c r="I16" s="20"/>
      <c r="J16" s="18"/>
      <c r="K16" s="18"/>
    </row>
    <row r="17" spans="1:11" ht="15.75">
      <c r="A17" s="21" t="s">
        <v>0</v>
      </c>
      <c r="B17" s="55">
        <f>IF(ISERROR(VLOOKUP($B$8,'Base dados - TCU 2622_2013'!$A$7:$V$14,11,)),"",VLOOKUP($B$8,'Base dados - TCU 2622_2013'!$A$7:$V$14,11,))</f>
        <v>0.59</v>
      </c>
      <c r="C17" s="55">
        <f>IF(ISERROR(VLOOKUP($B$8,'Base dados - TCU 2622_2013'!$A$7:$V$14,12,)),"",VLOOKUP($B$8,'Base dados - TCU 2622_2013'!$A$7:$V$14,12,))</f>
        <v>1.23</v>
      </c>
      <c r="D17" s="55">
        <f>IF(ISERROR(VLOOKUP($B$8,'Base dados - TCU 2622_2013'!$A$7:$V$14,13,)),"",VLOOKUP($B$8,'Base dados - TCU 2622_2013'!$A$7:$V$14,13,))</f>
        <v>1.39</v>
      </c>
      <c r="E17" s="59">
        <v>0.94</v>
      </c>
      <c r="F17" s="17" t="str">
        <f t="shared" si="0"/>
        <v>OK</v>
      </c>
      <c r="G17" s="23"/>
      <c r="H17" s="20"/>
      <c r="I17" s="20"/>
      <c r="J17" s="18"/>
      <c r="K17" s="18"/>
    </row>
    <row r="18" spans="1:11" ht="15.75">
      <c r="A18" s="21" t="s">
        <v>2</v>
      </c>
      <c r="B18" s="55">
        <f>IF(ISERROR(VLOOKUP($B$8,'Base dados - TCU 2622_2013'!$A$7:$V$14,14,)),"",VLOOKUP($B$8,'Base dados - TCU 2622_2013'!$A$7:$V$14,14,))</f>
        <v>6.16</v>
      </c>
      <c r="C18" s="55">
        <f>IF(ISERROR(VLOOKUP($B$8,'Base dados - TCU 2622_2013'!$A$7:$V$14,15,)),"",VLOOKUP($B$8,'Base dados - TCU 2622_2013'!$A$7:$V$14,15,))</f>
        <v>7.4</v>
      </c>
      <c r="D18" s="55">
        <f>IF(ISERROR(VLOOKUP($B$8,'Base dados - TCU 2622_2013'!$A$7:$V$14,16,)),"",VLOOKUP($B$8,'Base dados - TCU 2622_2013'!$A$7:$V$14,16,))</f>
        <v>8.96</v>
      </c>
      <c r="E18" s="59">
        <v>7</v>
      </c>
      <c r="F18" s="17" t="str">
        <f t="shared" si="0"/>
        <v>OK</v>
      </c>
      <c r="G18" s="23"/>
      <c r="H18" s="20"/>
      <c r="I18" s="20"/>
      <c r="J18" s="18"/>
      <c r="K18" s="18"/>
    </row>
    <row r="19" spans="1:11" ht="15.75">
      <c r="A19" s="21" t="s">
        <v>3</v>
      </c>
      <c r="B19" s="55">
        <f>IF(ISERROR(VLOOKUP($B$8,'Base dados - TCU 2622_2013'!$A$7:$V$14,17,)),"",VLOOKUP($B$8,'Base dados - TCU 2622_2013'!$A$7:$V$14,17,))</f>
        <v>3</v>
      </c>
      <c r="C19" s="55">
        <f>IF(ISERROR(VLOOKUP($B$8,'Base dados - TCU 2622_2013'!$A$7:$V$14,17,)),"",VLOOKUP($B$8,'Base dados - TCU 2622_2013'!$A$7:$V$14,17,))</f>
        <v>3</v>
      </c>
      <c r="D19" s="55">
        <f>IF(ISERROR(VLOOKUP($B$8,'Base dados - TCU 2622_2013'!$A$7:$V$14,17,)),"",VLOOKUP($B$8,'Base dados - TCU 2622_2013'!$A$7:$V$14,17,))</f>
        <v>3</v>
      </c>
      <c r="E19" s="59">
        <v>3</v>
      </c>
      <c r="F19" s="17" t="str">
        <f t="shared" si="0"/>
        <v>OK</v>
      </c>
      <c r="G19" s="20"/>
      <c r="H19" s="20"/>
      <c r="I19" s="20"/>
      <c r="J19" s="18"/>
      <c r="K19" s="18"/>
    </row>
    <row r="20" spans="1:11" ht="15.75">
      <c r="A20" s="21" t="s">
        <v>4</v>
      </c>
      <c r="B20" s="55">
        <f>IF(ISERROR(VLOOKUP($B$8,'Base dados - TCU 2622_2013'!$A$7:$V$14,18,)),"",VLOOKUP($B$8,'Base dados - TCU 2622_2013'!$A$7:$V$14,18,))</f>
        <v>0.65</v>
      </c>
      <c r="C20" s="55">
        <f>IF(ISERROR(VLOOKUP($B$8,'Base dados - TCU 2622_2013'!$A$7:$V$14,18,)),"",VLOOKUP($B$8,'Base dados - TCU 2622_2013'!$A$7:$V$14,18,))</f>
        <v>0.65</v>
      </c>
      <c r="D20" s="55">
        <f>IF(ISERROR(VLOOKUP($B$8,'Base dados - TCU 2622_2013'!$A$7:$V$14,18,)),"",VLOOKUP($B$8,'Base dados - TCU 2622_2013'!$A$7:$V$14,18,))</f>
        <v>0.65</v>
      </c>
      <c r="E20" s="59">
        <v>0.65</v>
      </c>
      <c r="F20" s="17" t="str">
        <f t="shared" si="0"/>
        <v>OK</v>
      </c>
      <c r="G20" s="20"/>
      <c r="H20" s="20"/>
      <c r="I20" s="20"/>
      <c r="J20" s="18"/>
      <c r="K20" s="18"/>
    </row>
    <row r="21" spans="1:11" ht="15.75">
      <c r="A21" s="21" t="s">
        <v>59</v>
      </c>
      <c r="B21" s="55">
        <f>IF(ISERROR(VLOOKUP($B$8,'Base dados - TCU 2622_2013'!$A$7:$V$14,19,)),"",VLOOKUP($B$8,'Base dados - TCU 2622_2013'!$A$7:$V$14,19,))</f>
        <v>2</v>
      </c>
      <c r="C21" s="55">
        <f>IF(ISERROR(VLOOKUP($B$8,'Base dados - TCU 2622_2013'!$A$7:$V$14,20,)),"",VLOOKUP($B$8,'Base dados - TCU 2622_2013'!$A$7:$V$14,20,))</f>
        <v>3.5</v>
      </c>
      <c r="D21" s="55">
        <f>IF(ISERROR(VLOOKUP($B$8,'Base dados - TCU 2622_2013'!$A$7:$V$14,21,)),"",VLOOKUP($B$8,'Base dados - TCU 2622_2013'!$A$7:$V$14,21,))</f>
        <v>5</v>
      </c>
      <c r="E21" s="59">
        <v>3</v>
      </c>
      <c r="F21" s="17" t="str">
        <f t="shared" si="0"/>
        <v>OK</v>
      </c>
      <c r="G21" s="24"/>
      <c r="H21" s="25"/>
      <c r="I21" s="25"/>
      <c r="J21" s="25"/>
      <c r="K21" s="18"/>
    </row>
    <row r="22" spans="1:11" ht="30" customHeight="1" thickBot="1">
      <c r="A22" s="21" t="str">
        <f>IF(B10="sim","CPRB - Alíquota 4,5% Receita Bruta (Desoneração)","")</f>
        <v>CPRB - Alíquota 4,5% Receita Bruta (Desoneração)</v>
      </c>
      <c r="B22" s="55">
        <f>IF($A$22="CPRB - Alíquota 4,5% Receita Bruta (Desoneração)",4.5,IF($B$10="","Preencher cabeçalho",0))</f>
        <v>4.5</v>
      </c>
      <c r="C22" s="55">
        <f>IF($A$22="CPRB - Alíquota 4,5% Receita Bruta (Desoneração)",4.5,IF($B$10="","Preencher cabeçalho",0))</f>
        <v>4.5</v>
      </c>
      <c r="D22" s="56">
        <f>IF($A$22="CPRB - Alíquota 4,5% Receita Bruta (Desoneração)",4.5,IF($B$10="","Preencher cabeçalho",0))</f>
        <v>4.5</v>
      </c>
      <c r="E22" s="60">
        <f>IF(B10="SIM",4.5,0)</f>
        <v>4.5</v>
      </c>
      <c r="F22" s="17" t="str">
        <f t="shared" si="0"/>
        <v>OK</v>
      </c>
      <c r="G22" s="25"/>
      <c r="H22" s="25"/>
      <c r="I22" s="25"/>
      <c r="J22" s="25"/>
      <c r="K22" s="18"/>
    </row>
    <row r="23" spans="1:11" ht="48" customHeight="1" thickBot="1">
      <c r="A23" s="26" t="s">
        <v>49</v>
      </c>
      <c r="B23" s="57">
        <f>IF($B$10="SIM",E28,"")</f>
        <v>26.43487900956667</v>
      </c>
      <c r="C23" s="57">
        <f>IF($B$10="SIM",J27,"")</f>
        <v>28.305030951041065</v>
      </c>
      <c r="D23" s="57">
        <f>IF($B$10="SIM",L27,"")</f>
        <v>31.330894766460315</v>
      </c>
      <c r="E23" s="9">
        <f>IF(B10="SIM",IF(G23&lt;12,"PREENCHER CÉLULAS RESTANTES",((((1+E14/100+E15/100+E16/100)*(1+E17/100)*(1+E18/100))/(1-((E19+E20+E21*$B$9+E22)/100))-1)*100)),"")</f>
        <v>28.002371862689944</v>
      </c>
      <c r="F23" s="18"/>
      <c r="G23" s="27">
        <f>COUNTIF(F8:F22,"OK")</f>
        <v>12</v>
      </c>
      <c r="I23" s="28"/>
      <c r="J23" s="18"/>
      <c r="K23" s="18"/>
    </row>
    <row r="24" spans="1:11" s="10" customFormat="1" ht="48.75" customHeight="1" thickBot="1">
      <c r="A24" s="26" t="s">
        <v>52</v>
      </c>
      <c r="B24" s="57">
        <f>IF(B8&lt;&gt;"",VLOOKUP($B$8,'Base dados - TCU 2622_2013'!$A$7:$Y$14,23,),"")</f>
        <v>20.34</v>
      </c>
      <c r="C24" s="57">
        <f>IF(B8&lt;&gt;"",VLOOKUP($B$8,'Base dados - TCU 2622_2013'!$A$7:$Y$14,24,),"")</f>
        <v>22.12</v>
      </c>
      <c r="D24" s="57">
        <f>IF(B8&lt;&gt;"",VLOOKUP($B$8,'Base dados - TCU 2622_2013'!$A$7:$Y$14,25,),"")</f>
        <v>25</v>
      </c>
      <c r="E24" s="9">
        <f>IF(B10="NÃO",IF(G23&lt;12,"PREENCHER CÉLULAS RESTANTES",((((1+E14/100+E15/100+E16/100)*(1+E17/100)*(1+E18/100))/(1-((E19+E20+E21*$B$9)/100))-1)*100)),"")</f>
      </c>
      <c r="F24" s="17">
        <f>IF(E26="ERRADO","BDI EXTRAPOLA A MAIS OU A MENOS OS LIMITES DO BDI ESTABELECIDOS PELO TCYU ACÓRDÃO 2622/2013","")</f>
      </c>
      <c r="G24" s="30"/>
      <c r="H24" s="30"/>
      <c r="I24" s="31"/>
      <c r="J24" s="17"/>
      <c r="K24" s="17"/>
    </row>
    <row r="25" spans="1:11" s="10" customFormat="1" ht="16.5" thickBot="1">
      <c r="A25" s="32" t="s">
        <v>22</v>
      </c>
      <c r="F25" s="17"/>
      <c r="H25" s="31"/>
      <c r="I25" s="31"/>
      <c r="J25" s="17"/>
      <c r="K25" s="17"/>
    </row>
    <row r="26" spans="1:11" s="10" customFormat="1" ht="15.75" customHeight="1" thickBot="1">
      <c r="A26" s="32" t="s">
        <v>53</v>
      </c>
      <c r="D26" s="63" t="s">
        <v>56</v>
      </c>
      <c r="E26" s="29" t="str">
        <f>IF(B10="NÃO",(IF(E24&gt;D24,"INADEQUADO",IF(E24&lt;B24,"INADEQUADO","OK"))),IF(B10="SIM",(IF(E23&gt;D23,"INADEQUADO",IF(E23&lt;B23,"INADEQUADO","OK"))),""))</f>
        <v>OK</v>
      </c>
      <c r="F26" s="61" t="s">
        <v>51</v>
      </c>
      <c r="G26" s="31"/>
      <c r="H26" s="31"/>
      <c r="I26" s="31"/>
      <c r="J26" s="17"/>
      <c r="K26" s="17"/>
    </row>
    <row r="27" spans="4:13" ht="12.75">
      <c r="D27" s="62" t="str">
        <f>IF(B10="SIM","BDI s/ desoneração:","")</f>
        <v>BDI s/ desoneração:</v>
      </c>
      <c r="E27" s="66">
        <f>IF(B10="SIM",((((1+E14/100+E15/100+E16/100)*(1+E17/100)*(1+E18/100))/(1-((E19+E20+E21*$B$9)/100))-1)*100),"")</f>
        <v>21.831930798071774</v>
      </c>
      <c r="F27" s="61" t="s">
        <v>50</v>
      </c>
      <c r="G27" s="28"/>
      <c r="I27" s="27">
        <f>VLOOKUP($B$8,'Base dados - TCU 2622_2013'!$A$7:$Y$14,23,)</f>
        <v>20.34</v>
      </c>
      <c r="J27" s="27">
        <f>((1+K27/100)*(((0.045/(0.9185-$E$21/100*$B$9))+1))-1)*100</f>
        <v>28.305030951041065</v>
      </c>
      <c r="K27" s="27">
        <f>VLOOKUP($B$8,'Base dados - TCU 2622_2013'!$A$7:$Y$14,24,)</f>
        <v>22.12</v>
      </c>
      <c r="L27" s="27">
        <f>((1+M27/100)*(((0.045/(0.9185-$E$21/100*$B$9))+1))-1)*100</f>
        <v>31.330894766460315</v>
      </c>
      <c r="M27" s="27">
        <f>VLOOKUP($B$8,'Base dados - TCU 2622_2013'!$A$7:$Y$14,25,)</f>
        <v>25</v>
      </c>
    </row>
    <row r="28" spans="1:13" ht="15.75">
      <c r="A28" s="69" t="s">
        <v>5</v>
      </c>
      <c r="B28" s="69"/>
      <c r="C28" s="69"/>
      <c r="D28" s="69"/>
      <c r="E28" s="54">
        <f>((1+I27/100)*(((0.045/(0.9185-$E$21/100*$B$9))+1))-1)*100</f>
        <v>26.43487900956667</v>
      </c>
      <c r="F28" s="31"/>
      <c r="G28" s="18"/>
      <c r="I28" s="27"/>
      <c r="J28" s="27">
        <f>((1+K27/100)*(0.9635-$E$21*$B$9/100)/(0.9435-$E$22*$B$9/100)-1)*100</f>
        <v>26.877039510294942</v>
      </c>
      <c r="K28" s="27"/>
      <c r="L28" s="27">
        <f>((1+M27/100)*(0.9635-$E$21*$B$9/100)/(0.9435-$E$22*$B$9/100)-1)*100</f>
        <v>29.869226488592115</v>
      </c>
      <c r="M28" s="27"/>
    </row>
    <row r="29" spans="5:12" ht="12.75">
      <c r="E29" s="54">
        <f>((1+I27/100)*(0.9635-$E$21*$B$9/100)/(0.9185-$E$22*$B$9/100)-1)*100</f>
        <v>28.606056096164867</v>
      </c>
      <c r="F29" s="31"/>
      <c r="G29" s="18"/>
      <c r="H29" s="18"/>
      <c r="I29" s="18"/>
      <c r="J29" s="18"/>
      <c r="K29" s="18"/>
      <c r="L29" s="18"/>
    </row>
    <row r="30" ht="12.75">
      <c r="F30" s="18"/>
    </row>
    <row r="31" ht="12.75">
      <c r="F31" s="18"/>
    </row>
    <row r="32" ht="12.75">
      <c r="F32" s="18"/>
    </row>
    <row r="33" spans="1:11" ht="15">
      <c r="A33" s="33" t="s">
        <v>6</v>
      </c>
      <c r="F33" s="18"/>
      <c r="G33" s="18"/>
      <c r="H33" s="18"/>
      <c r="I33" s="18"/>
      <c r="J33" s="18"/>
      <c r="K33" s="18"/>
    </row>
    <row r="34" spans="1:11" ht="15">
      <c r="A34" s="70" t="s">
        <v>7</v>
      </c>
      <c r="B34" s="70"/>
      <c r="C34" s="70"/>
      <c r="D34" s="70"/>
      <c r="F34" s="18"/>
      <c r="G34" s="18"/>
      <c r="H34" s="18"/>
      <c r="I34" s="18"/>
      <c r="J34" s="18"/>
      <c r="K34" s="18"/>
    </row>
    <row r="35" spans="1:11" ht="15">
      <c r="A35" s="70" t="s">
        <v>8</v>
      </c>
      <c r="B35" s="70"/>
      <c r="C35" s="70"/>
      <c r="D35" s="70"/>
      <c r="F35" s="18"/>
      <c r="G35" s="18"/>
      <c r="H35" s="18"/>
      <c r="I35" s="18"/>
      <c r="J35" s="18"/>
      <c r="K35" s="18"/>
    </row>
    <row r="36" spans="1:11" ht="15">
      <c r="A36" s="70" t="s">
        <v>41</v>
      </c>
      <c r="B36" s="70"/>
      <c r="C36" s="70"/>
      <c r="D36" s="70"/>
      <c r="F36" s="18"/>
      <c r="G36" s="18"/>
      <c r="H36" s="18"/>
      <c r="I36" s="18"/>
      <c r="J36" s="18"/>
      <c r="K36" s="18"/>
    </row>
    <row r="37" spans="1:11" ht="15">
      <c r="A37" s="70" t="s">
        <v>57</v>
      </c>
      <c r="B37" s="70"/>
      <c r="C37" s="70"/>
      <c r="D37" s="70"/>
      <c r="E37" s="70"/>
      <c r="F37" s="18"/>
      <c r="H37" s="18"/>
      <c r="I37" s="18"/>
      <c r="J37" s="18"/>
      <c r="K37" s="18"/>
    </row>
    <row r="38" spans="1:11" ht="15">
      <c r="A38" s="70" t="s">
        <v>9</v>
      </c>
      <c r="B38" s="70"/>
      <c r="C38" s="70"/>
      <c r="D38" s="70"/>
      <c r="F38" s="18"/>
      <c r="G38" s="18"/>
      <c r="H38" s="18"/>
      <c r="I38" s="18"/>
      <c r="J38" s="18"/>
      <c r="K38" s="18"/>
    </row>
    <row r="39" spans="1:11" ht="15">
      <c r="A39" s="34"/>
      <c r="B39" s="34"/>
      <c r="C39" s="34"/>
      <c r="D39" s="34"/>
      <c r="F39" s="18"/>
      <c r="G39" s="18"/>
      <c r="H39" s="18"/>
      <c r="I39" s="18"/>
      <c r="J39" s="18"/>
      <c r="K39" s="18"/>
    </row>
    <row r="40" spans="1:11" ht="68.25" customHeight="1">
      <c r="A40" s="85" t="str">
        <f>CONCATENATE("Declaro para os devidos fins que, conforme legislação tributária municipal, a base de cálculo do ISS para ",B8," é de ",B9*100,"%, com a respectiva alíquota de ",E21,"%. Declaramos ainda que adotamos orçamento ",IF(B10="SIM","Com Desoneração",IF(B10="NÃO","Sem Desoneração",""))," e que esta é a alternativa mais adequada para a Administração Pública.")</f>
        <v>Declaro para os devidos fins que, conforme legislação tributária municipal, a base de cálculo do ISS para Construção de Edifícios e Reformas (Quadras, unidades habitacionais, escolas, restaurantes, etc) é de 100%, com a respectiva alíquota de 3%. Declaramos ainda que adotamos orçamento Com Desoneração e que esta é a alternativa mais adequada para a Administração Pública.</v>
      </c>
      <c r="B40" s="86"/>
      <c r="C40" s="86"/>
      <c r="D40" s="86"/>
      <c r="E40" s="87"/>
      <c r="F40" s="18"/>
      <c r="G40" s="18"/>
      <c r="H40" s="18"/>
      <c r="I40" s="18"/>
      <c r="J40" s="18"/>
      <c r="K40" s="18"/>
    </row>
    <row r="41" spans="1:11" ht="15">
      <c r="A41" s="34"/>
      <c r="B41" s="34"/>
      <c r="C41" s="34"/>
      <c r="D41" s="34"/>
      <c r="F41" s="18"/>
      <c r="G41" s="18"/>
      <c r="H41" s="18"/>
      <c r="I41" s="18"/>
      <c r="J41" s="18"/>
      <c r="K41" s="18"/>
    </row>
    <row r="42" spans="1:11" ht="15">
      <c r="A42" s="68"/>
      <c r="B42" s="34"/>
      <c r="C42" s="34"/>
      <c r="D42" s="34"/>
      <c r="F42" s="18"/>
      <c r="G42" s="18"/>
      <c r="H42" s="18"/>
      <c r="I42" s="18"/>
      <c r="J42" s="18"/>
      <c r="K42" s="18"/>
    </row>
    <row r="43" spans="1:11" ht="15">
      <c r="A43" s="34"/>
      <c r="B43" s="34"/>
      <c r="C43" s="34"/>
      <c r="D43" s="34"/>
      <c r="F43" s="18"/>
      <c r="G43" s="18"/>
      <c r="H43" s="18"/>
      <c r="I43" s="18"/>
      <c r="J43" s="18"/>
      <c r="K43" s="18"/>
    </row>
    <row r="44" spans="1:11" ht="15">
      <c r="A44" s="35"/>
      <c r="B44" s="34"/>
      <c r="C44" s="84"/>
      <c r="D44" s="84"/>
      <c r="E44" s="84"/>
      <c r="F44" s="18"/>
      <c r="G44" s="18"/>
      <c r="H44" s="18"/>
      <c r="I44" s="18"/>
      <c r="J44" s="18"/>
      <c r="K44" s="18"/>
    </row>
    <row r="45" spans="1:11" ht="15">
      <c r="A45" s="68" t="s">
        <v>61</v>
      </c>
      <c r="B45" s="34"/>
      <c r="C45" s="64" t="s">
        <v>55</v>
      </c>
      <c r="D45" s="88"/>
      <c r="E45" s="88"/>
      <c r="F45" s="18"/>
      <c r="G45" s="18"/>
      <c r="H45" s="18"/>
      <c r="I45" s="18"/>
      <c r="J45" s="18"/>
      <c r="K45" s="18"/>
    </row>
    <row r="46" spans="1:11" ht="15">
      <c r="A46" s="68" t="s">
        <v>62</v>
      </c>
      <c r="B46" s="34"/>
      <c r="C46" s="65" t="s">
        <v>54</v>
      </c>
      <c r="D46" s="89"/>
      <c r="E46" s="89"/>
      <c r="F46" s="18"/>
      <c r="G46" s="18"/>
      <c r="H46" s="18"/>
      <c r="I46" s="18"/>
      <c r="J46" s="18"/>
      <c r="K46" s="18"/>
    </row>
    <row r="47" spans="1:11" ht="15">
      <c r="A47" s="34"/>
      <c r="B47" s="34"/>
      <c r="C47" s="34"/>
      <c r="D47" s="34"/>
      <c r="F47" s="18"/>
      <c r="G47" s="18"/>
      <c r="H47" s="18"/>
      <c r="I47" s="18"/>
      <c r="J47" s="18"/>
      <c r="K47" s="18"/>
    </row>
    <row r="48" spans="1:5" ht="12.75">
      <c r="A48" s="36"/>
      <c r="B48" s="36"/>
      <c r="C48" s="36"/>
      <c r="D48" s="36"/>
      <c r="E48" s="36"/>
    </row>
    <row r="49" spans="1:5" ht="25.5" customHeight="1">
      <c r="A49" s="82"/>
      <c r="B49" s="82"/>
      <c r="C49" s="82"/>
      <c r="D49" s="82"/>
      <c r="E49" s="82"/>
    </row>
    <row r="50" spans="1:5" ht="25.5" customHeight="1">
      <c r="A50" s="37"/>
      <c r="B50" s="37"/>
      <c r="C50" s="37"/>
      <c r="D50" s="37"/>
      <c r="E50" s="37"/>
    </row>
    <row r="51" spans="1:5" ht="25.5" customHeight="1">
      <c r="A51" s="82"/>
      <c r="B51" s="82"/>
      <c r="C51" s="82"/>
      <c r="D51" s="82"/>
      <c r="E51" s="82"/>
    </row>
    <row r="52" spans="1:5" s="39" customFormat="1" ht="12.75">
      <c r="A52" s="38"/>
      <c r="B52" s="38"/>
      <c r="C52" s="38"/>
      <c r="D52" s="38"/>
      <c r="E52" s="38"/>
    </row>
    <row r="53" spans="1:5" s="41" customFormat="1" ht="15.75">
      <c r="A53" s="40"/>
      <c r="B53" s="38"/>
      <c r="C53" s="38"/>
      <c r="D53" s="38"/>
      <c r="E53" s="38"/>
    </row>
    <row r="54" spans="1:5" s="43" customFormat="1" ht="8.25">
      <c r="A54" s="42"/>
      <c r="B54" s="42"/>
      <c r="C54" s="42"/>
      <c r="D54" s="42"/>
      <c r="E54" s="42"/>
    </row>
    <row r="55" spans="1:5" s="41" customFormat="1" ht="16.5" customHeight="1">
      <c r="A55" s="90"/>
      <c r="B55" s="90"/>
      <c r="C55" s="90"/>
      <c r="D55" s="90"/>
      <c r="E55" s="44"/>
    </row>
    <row r="56" spans="1:5" s="41" customFormat="1" ht="16.5" customHeight="1">
      <c r="A56" s="90"/>
      <c r="B56" s="91"/>
      <c r="C56" s="91"/>
      <c r="D56" s="91"/>
      <c r="E56" s="44"/>
    </row>
    <row r="57" spans="1:5" s="41" customFormat="1" ht="15.75">
      <c r="A57" s="90"/>
      <c r="B57" s="45"/>
      <c r="C57" s="45"/>
      <c r="D57" s="45"/>
      <c r="E57" s="44"/>
    </row>
    <row r="58" spans="1:4" s="41" customFormat="1" ht="15.75">
      <c r="A58" s="46"/>
      <c r="B58" s="47"/>
      <c r="C58" s="47"/>
      <c r="D58" s="47"/>
    </row>
    <row r="59" spans="1:4" s="41" customFormat="1" ht="15.75">
      <c r="A59" s="46"/>
      <c r="B59" s="47"/>
      <c r="C59" s="47"/>
      <c r="D59" s="47"/>
    </row>
    <row r="60" spans="1:4" s="41" customFormat="1" ht="15.75">
      <c r="A60" s="46"/>
      <c r="B60" s="47"/>
      <c r="C60" s="47"/>
      <c r="D60" s="47"/>
    </row>
    <row r="61" spans="1:4" s="41" customFormat="1" ht="15.75">
      <c r="A61" s="46"/>
      <c r="B61" s="47"/>
      <c r="C61" s="47"/>
      <c r="D61" s="47"/>
    </row>
    <row r="62" spans="1:4" s="41" customFormat="1" ht="15.75">
      <c r="A62" s="46"/>
      <c r="B62" s="47"/>
      <c r="C62" s="47"/>
      <c r="D62" s="47"/>
    </row>
    <row r="63" spans="1:4" s="41" customFormat="1" ht="15.75">
      <c r="A63" s="48"/>
      <c r="B63" s="49"/>
      <c r="C63" s="49"/>
      <c r="D63" s="49"/>
    </row>
    <row r="64" spans="1:4" s="41" customFormat="1" ht="15.75">
      <c r="A64" s="46"/>
      <c r="B64" s="47"/>
      <c r="C64" s="47"/>
      <c r="D64" s="47"/>
    </row>
    <row r="65" spans="1:4" s="41" customFormat="1" ht="15.75">
      <c r="A65" s="46"/>
      <c r="B65" s="47"/>
      <c r="C65" s="47"/>
      <c r="D65" s="47"/>
    </row>
    <row r="66" spans="1:4" s="41" customFormat="1" ht="15.75">
      <c r="A66" s="46"/>
      <c r="B66" s="47"/>
      <c r="C66" s="47"/>
      <c r="D66" s="47"/>
    </row>
    <row r="67" spans="1:4" s="41" customFormat="1" ht="15.75">
      <c r="A67" s="48"/>
      <c r="B67" s="49"/>
      <c r="C67" s="49"/>
      <c r="D67" s="49"/>
    </row>
    <row r="68" s="43" customFormat="1" ht="8.25"/>
    <row r="69" spans="1:4" s="41" customFormat="1" ht="15.75">
      <c r="A69" s="69"/>
      <c r="B69" s="69"/>
      <c r="C69" s="69"/>
      <c r="D69" s="69"/>
    </row>
    <row r="70" s="41" customFormat="1" ht="12.75"/>
    <row r="71" s="41" customFormat="1" ht="12.75"/>
    <row r="72" s="41" customFormat="1" ht="12.75"/>
    <row r="73" s="41" customFormat="1" ht="12.75"/>
    <row r="74" s="41" customFormat="1" ht="15">
      <c r="A74" s="50"/>
    </row>
    <row r="75" spans="1:4" s="41" customFormat="1" ht="15">
      <c r="A75" s="81"/>
      <c r="B75" s="81"/>
      <c r="C75" s="81"/>
      <c r="D75" s="81"/>
    </row>
    <row r="76" spans="1:4" s="41" customFormat="1" ht="15">
      <c r="A76" s="81"/>
      <c r="B76" s="81"/>
      <c r="C76" s="81"/>
      <c r="D76" s="81"/>
    </row>
    <row r="77" spans="1:4" s="41" customFormat="1" ht="15">
      <c r="A77" s="81"/>
      <c r="B77" s="81"/>
      <c r="C77" s="81"/>
      <c r="D77" s="81"/>
    </row>
    <row r="78" spans="1:4" s="41" customFormat="1" ht="15">
      <c r="A78" s="81"/>
      <c r="B78" s="81"/>
      <c r="C78" s="81"/>
      <c r="D78" s="81"/>
    </row>
    <row r="79" spans="1:4" s="41" customFormat="1" ht="15">
      <c r="A79" s="81"/>
      <c r="B79" s="81"/>
      <c r="C79" s="81"/>
      <c r="D79" s="81"/>
    </row>
    <row r="80" spans="1:4" s="41" customFormat="1" ht="15">
      <c r="A80" s="81"/>
      <c r="B80" s="81"/>
      <c r="C80" s="81"/>
      <c r="D80" s="81"/>
    </row>
    <row r="81" spans="1:4" s="41" customFormat="1" ht="15">
      <c r="A81" s="81"/>
      <c r="B81" s="81"/>
      <c r="C81" s="81"/>
      <c r="D81" s="81"/>
    </row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</sheetData>
  <sheetProtection password="D921" sheet="1" formatCells="0" formatColumns="0" formatRows="0" insertColumns="0" insertRows="0" insertHyperlinks="0" deleteColumns="0" deleteRows="0" selectLockedCells="1" sort="0" autoFilter="0" pivotTables="0"/>
  <mergeCells count="34">
    <mergeCell ref="A37:E37"/>
    <mergeCell ref="D45:E45"/>
    <mergeCell ref="D46:E46"/>
    <mergeCell ref="A69:D69"/>
    <mergeCell ref="A75:D75"/>
    <mergeCell ref="A56:A57"/>
    <mergeCell ref="B56:D56"/>
    <mergeCell ref="A55:D55"/>
    <mergeCell ref="A51:E51"/>
    <mergeCell ref="A38:D38"/>
    <mergeCell ref="A49:E49"/>
    <mergeCell ref="A34:D34"/>
    <mergeCell ref="B6:E6"/>
    <mergeCell ref="B9:E9"/>
    <mergeCell ref="B7:E7"/>
    <mergeCell ref="B8:E8"/>
    <mergeCell ref="C44:E44"/>
    <mergeCell ref="A35:D35"/>
    <mergeCell ref="B10:E10"/>
    <mergeCell ref="A40:E40"/>
    <mergeCell ref="A81:D81"/>
    <mergeCell ref="A76:D76"/>
    <mergeCell ref="A77:D77"/>
    <mergeCell ref="A78:D78"/>
    <mergeCell ref="A79:D79"/>
    <mergeCell ref="A80:D80"/>
    <mergeCell ref="A28:D28"/>
    <mergeCell ref="A36:D36"/>
    <mergeCell ref="A1:E1"/>
    <mergeCell ref="E12:E13"/>
    <mergeCell ref="A3:E3"/>
    <mergeCell ref="A12:A13"/>
    <mergeCell ref="B12:D12"/>
    <mergeCell ref="B5:E5"/>
  </mergeCells>
  <conditionalFormatting sqref="E26">
    <cfRule type="cellIs" priority="1" dxfId="1" operator="equal" stopIfTrue="1">
      <formula>"INADEQUADO"</formula>
    </cfRule>
    <cfRule type="cellIs" priority="2" dxfId="0" operator="equal" stopIfTrue="1">
      <formula>"OK"</formula>
    </cfRule>
  </conditionalFormatting>
  <dataValidations count="6">
    <dataValidation type="decimal" allowBlank="1" showInputMessage="1" showErrorMessage="1" errorTitle="ERRO" error="O VALOR ESTÁ FORA DOS LIMITES ESTABELECIDOS PELO TCU ACÓRDÃO 2622/2013 !" sqref="E14:E21">
      <formula1>B14</formula1>
      <formula2>D14</formula2>
    </dataValidation>
    <dataValidation type="decimal" allowBlank="1" showInputMessage="1" showErrorMessage="1" promptTitle="COMO PREENCHER:" prompt="- SE ONERADO: 0%&#10;&#10;- SE DESONERADO: ALÍQUOTA DE 4,5% DA RECEITA BRUTA" errorTitle="ERRO" error="- SE ONERADO = 0%&#10;&#10;- SE DESONERADO = ALÍQUOTA DE 4,5% DA RECEITA BRUTA" sqref="E22">
      <formula1>B22</formula1>
      <formula2>D22</formula2>
    </dataValidation>
    <dataValidation errorStyle="warning" allowBlank="1" showInputMessage="1" showErrorMessage="1" promptTitle="NOTE:" prompt="&lt;=== ADEQUAR PARA OS LIMITES DO BDI ESTABELECIDOS CONFORME TCU ACÓRDÃO 2622/2013 !" sqref="E26"/>
    <dataValidation type="list" allowBlank="1" showInputMessage="1" showErrorMessage="1" errorTitle="ERRO" error="ESCOLHA ENTRE OS TIPOS DE OBRA ESPECIFICADOS !" sqref="B8:E8">
      <formula1>sigla_obras</formula1>
    </dataValidation>
    <dataValidation type="decimal" allowBlank="1" showInputMessage="1" showErrorMessage="1" promptTitle="COMO PREENCHER:" prompt="- DE 0% A 100% CONFORME APLICADO PELA PREFEITURA NA NOTA PARA MÃO DE OBRA!" errorTitle="ERRO" error="Digite a % da Nota em que se incide o ISS" sqref="B9:E9">
      <formula1>0</formula1>
      <formula2>1</formula2>
    </dataValidation>
    <dataValidation type="list" allowBlank="1" showInputMessage="1" showErrorMessage="1" errorTitle="ERRO" error="Digitar SIM ou NÃO!" sqref="B10:E10">
      <formula1>sigla_sn</formula1>
    </dataValidation>
  </dataValidations>
  <printOptions horizontalCentered="1"/>
  <pageMargins left="1.1811023622047245" right="0.7874015748031497" top="1.1811023622047245" bottom="0.7874015748031497" header="0.5118110236220472" footer="0.5118110236220472"/>
  <pageSetup fitToHeight="1" fitToWidth="1" horizontalDpi="300" verticalDpi="300" orientation="portrait" paperSize="9" scale="76" r:id="rId2"/>
  <headerFooter alignWithMargins="0"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="70" zoomScaleNormal="70" zoomScalePageLayoutView="0" workbookViewId="0" topLeftCell="A1">
      <selection activeCell="H23" sqref="H23"/>
    </sheetView>
  </sheetViews>
  <sheetFormatPr defaultColWidth="9.140625" defaultRowHeight="12.75"/>
  <cols>
    <col min="1" max="1" width="84.8515625" style="8" bestFit="1" customWidth="1"/>
    <col min="2" max="24" width="9.140625" style="8" customWidth="1"/>
    <col min="25" max="25" width="11.28125" style="8" bestFit="1" customWidth="1"/>
    <col min="26" max="16384" width="9.140625" style="8" customWidth="1"/>
  </cols>
  <sheetData>
    <row r="1" s="1" customFormat="1" ht="12.75">
      <c r="A1" s="1" t="s">
        <v>25</v>
      </c>
    </row>
    <row r="2" s="1" customFormat="1" ht="12.75">
      <c r="A2" s="1" t="s">
        <v>21</v>
      </c>
    </row>
    <row r="3" s="1" customFormat="1" ht="12.75">
      <c r="A3" s="1" t="s">
        <v>23</v>
      </c>
    </row>
    <row r="5" spans="1:25" s="1" customFormat="1" ht="12.75">
      <c r="A5" s="2"/>
      <c r="B5" s="92" t="s">
        <v>31</v>
      </c>
      <c r="C5" s="92"/>
      <c r="D5" s="92"/>
      <c r="E5" s="92" t="s">
        <v>32</v>
      </c>
      <c r="F5" s="92"/>
      <c r="G5" s="92"/>
      <c r="H5" s="92" t="s">
        <v>33</v>
      </c>
      <c r="I5" s="92"/>
      <c r="J5" s="92"/>
      <c r="K5" s="92" t="s">
        <v>34</v>
      </c>
      <c r="L5" s="92"/>
      <c r="M5" s="92"/>
      <c r="N5" s="92" t="s">
        <v>35</v>
      </c>
      <c r="O5" s="92"/>
      <c r="P5" s="92"/>
      <c r="Q5" s="92" t="s">
        <v>3</v>
      </c>
      <c r="R5" s="92" t="s">
        <v>4</v>
      </c>
      <c r="S5" s="92" t="s">
        <v>36</v>
      </c>
      <c r="T5" s="92"/>
      <c r="U5" s="92"/>
      <c r="V5" s="92" t="s">
        <v>37</v>
      </c>
      <c r="W5" s="92" t="s">
        <v>19</v>
      </c>
      <c r="X5" s="92"/>
      <c r="Y5" s="92"/>
    </row>
    <row r="6" spans="1:25" s="1" customFormat="1" ht="13.5" thickBot="1">
      <c r="A6" s="2" t="s">
        <v>26</v>
      </c>
      <c r="B6" s="2" t="s">
        <v>38</v>
      </c>
      <c r="C6" s="2" t="s">
        <v>39</v>
      </c>
      <c r="D6" s="2" t="s">
        <v>40</v>
      </c>
      <c r="E6" s="2" t="s">
        <v>38</v>
      </c>
      <c r="F6" s="2" t="s">
        <v>39</v>
      </c>
      <c r="G6" s="2" t="s">
        <v>40</v>
      </c>
      <c r="H6" s="2" t="s">
        <v>38</v>
      </c>
      <c r="I6" s="2" t="s">
        <v>39</v>
      </c>
      <c r="J6" s="2" t="s">
        <v>40</v>
      </c>
      <c r="K6" s="2" t="s">
        <v>38</v>
      </c>
      <c r="L6" s="2" t="s">
        <v>39</v>
      </c>
      <c r="M6" s="2" t="s">
        <v>40</v>
      </c>
      <c r="N6" s="2" t="s">
        <v>38</v>
      </c>
      <c r="O6" s="2" t="s">
        <v>39</v>
      </c>
      <c r="P6" s="2" t="s">
        <v>40</v>
      </c>
      <c r="Q6" s="92"/>
      <c r="R6" s="92"/>
      <c r="S6" s="2" t="s">
        <v>38</v>
      </c>
      <c r="T6" s="2" t="s">
        <v>39</v>
      </c>
      <c r="U6" s="2" t="s">
        <v>40</v>
      </c>
      <c r="V6" s="92"/>
      <c r="W6" s="2" t="s">
        <v>38</v>
      </c>
      <c r="X6" s="2" t="s">
        <v>39</v>
      </c>
      <c r="Y6" s="2" t="s">
        <v>40</v>
      </c>
    </row>
    <row r="7" spans="1:25" ht="16.5" thickBot="1">
      <c r="A7" s="2" t="s">
        <v>45</v>
      </c>
      <c r="B7" s="3">
        <v>3</v>
      </c>
      <c r="C7" s="3">
        <v>4</v>
      </c>
      <c r="D7" s="3">
        <v>5.5</v>
      </c>
      <c r="E7" s="4">
        <v>0.8</v>
      </c>
      <c r="F7" s="4">
        <v>0.8</v>
      </c>
      <c r="G7" s="4">
        <v>1</v>
      </c>
      <c r="H7" s="3">
        <v>0.97</v>
      </c>
      <c r="I7" s="3">
        <v>1.27</v>
      </c>
      <c r="J7" s="3">
        <v>1.27</v>
      </c>
      <c r="K7" s="4">
        <v>0.59</v>
      </c>
      <c r="L7" s="4">
        <v>1.23</v>
      </c>
      <c r="M7" s="4">
        <v>1.39</v>
      </c>
      <c r="N7" s="3">
        <v>6.16</v>
      </c>
      <c r="O7" s="3">
        <v>7.4</v>
      </c>
      <c r="P7" s="3">
        <v>8.96</v>
      </c>
      <c r="Q7" s="5">
        <v>3</v>
      </c>
      <c r="R7" s="5">
        <v>0.65</v>
      </c>
      <c r="S7" s="4">
        <v>2</v>
      </c>
      <c r="T7" s="4">
        <f>(S7+U7)/2</f>
        <v>3.5</v>
      </c>
      <c r="U7" s="4">
        <v>5</v>
      </c>
      <c r="V7" s="6">
        <v>2</v>
      </c>
      <c r="W7" s="7">
        <v>20.34</v>
      </c>
      <c r="X7" s="7">
        <v>22.12</v>
      </c>
      <c r="Y7" s="7">
        <v>25</v>
      </c>
    </row>
    <row r="8" spans="1:25" ht="16.5" thickBot="1">
      <c r="A8" s="6" t="s">
        <v>42</v>
      </c>
      <c r="B8" s="3">
        <v>3.8</v>
      </c>
      <c r="C8" s="3">
        <v>4.01</v>
      </c>
      <c r="D8" s="3">
        <v>4.67</v>
      </c>
      <c r="E8" s="4">
        <v>0.32</v>
      </c>
      <c r="F8" s="4">
        <v>0.4</v>
      </c>
      <c r="G8" s="4">
        <v>0.74</v>
      </c>
      <c r="H8" s="3">
        <v>0.5</v>
      </c>
      <c r="I8" s="3">
        <v>0.56</v>
      </c>
      <c r="J8" s="3">
        <v>0.97</v>
      </c>
      <c r="K8" s="4">
        <v>1.02</v>
      </c>
      <c r="L8" s="4">
        <v>1.11</v>
      </c>
      <c r="M8" s="4">
        <v>1.21</v>
      </c>
      <c r="N8" s="3">
        <v>6.64</v>
      </c>
      <c r="O8" s="3">
        <v>7.3</v>
      </c>
      <c r="P8" s="3">
        <v>8.69</v>
      </c>
      <c r="Q8" s="5">
        <v>3</v>
      </c>
      <c r="R8" s="5">
        <v>0.65</v>
      </c>
      <c r="S8" s="4">
        <v>2</v>
      </c>
      <c r="T8" s="4">
        <f aca="true" t="shared" si="0" ref="T8:T14">(S8+U8)/2</f>
        <v>3.5</v>
      </c>
      <c r="U8" s="4">
        <v>5</v>
      </c>
      <c r="V8" s="6">
        <v>2</v>
      </c>
      <c r="W8" s="7">
        <v>19.6</v>
      </c>
      <c r="X8" s="7">
        <v>20.97</v>
      </c>
      <c r="Y8" s="7">
        <v>24.23</v>
      </c>
    </row>
    <row r="9" spans="1:25" ht="16.5" thickBot="1">
      <c r="A9" s="6" t="s">
        <v>43</v>
      </c>
      <c r="B9" s="3">
        <v>3.8</v>
      </c>
      <c r="C9" s="3">
        <v>4.01</v>
      </c>
      <c r="D9" s="3">
        <v>4.67</v>
      </c>
      <c r="E9" s="4">
        <v>0.32</v>
      </c>
      <c r="F9" s="4">
        <v>0.4</v>
      </c>
      <c r="G9" s="4">
        <v>0.74</v>
      </c>
      <c r="H9" s="3">
        <v>0.5</v>
      </c>
      <c r="I9" s="3">
        <v>0.56</v>
      </c>
      <c r="J9" s="3">
        <v>0.97</v>
      </c>
      <c r="K9" s="4">
        <v>1.02</v>
      </c>
      <c r="L9" s="4">
        <v>1.11</v>
      </c>
      <c r="M9" s="4">
        <v>1.21</v>
      </c>
      <c r="N9" s="3">
        <v>6.64</v>
      </c>
      <c r="O9" s="3">
        <v>7.3</v>
      </c>
      <c r="P9" s="3">
        <v>8.69</v>
      </c>
      <c r="Q9" s="5">
        <v>3</v>
      </c>
      <c r="R9" s="5">
        <v>0.65</v>
      </c>
      <c r="S9" s="4">
        <v>2</v>
      </c>
      <c r="T9" s="4">
        <f>(S9+U9)/2</f>
        <v>3.5</v>
      </c>
      <c r="U9" s="4">
        <v>5</v>
      </c>
      <c r="V9" s="6">
        <v>2</v>
      </c>
      <c r="W9" s="7">
        <v>19.6</v>
      </c>
      <c r="X9" s="7">
        <v>20.97</v>
      </c>
      <c r="Y9" s="7">
        <v>24.23</v>
      </c>
    </row>
    <row r="10" spans="1:25" ht="16.5" thickBot="1">
      <c r="A10" s="6" t="s">
        <v>44</v>
      </c>
      <c r="B10" s="3">
        <v>3.8</v>
      </c>
      <c r="C10" s="3">
        <v>4.01</v>
      </c>
      <c r="D10" s="3">
        <v>4.67</v>
      </c>
      <c r="E10" s="4">
        <v>0.32</v>
      </c>
      <c r="F10" s="4">
        <v>0.4</v>
      </c>
      <c r="G10" s="4">
        <v>0.74</v>
      </c>
      <c r="H10" s="3">
        <v>0.5</v>
      </c>
      <c r="I10" s="3">
        <v>0.56</v>
      </c>
      <c r="J10" s="3">
        <v>0.97</v>
      </c>
      <c r="K10" s="4">
        <v>1.02</v>
      </c>
      <c r="L10" s="4">
        <v>1.11</v>
      </c>
      <c r="M10" s="4">
        <v>1.21</v>
      </c>
      <c r="N10" s="3">
        <v>6.64</v>
      </c>
      <c r="O10" s="3">
        <v>7.3</v>
      </c>
      <c r="P10" s="3">
        <v>8.69</v>
      </c>
      <c r="Q10" s="5">
        <v>3</v>
      </c>
      <c r="R10" s="5">
        <v>0.65</v>
      </c>
      <c r="S10" s="4">
        <v>2</v>
      </c>
      <c r="T10" s="4">
        <f t="shared" si="0"/>
        <v>3.5</v>
      </c>
      <c r="U10" s="4">
        <v>5</v>
      </c>
      <c r="V10" s="6">
        <v>2</v>
      </c>
      <c r="W10" s="7">
        <v>19.6</v>
      </c>
      <c r="X10" s="7">
        <v>20.97</v>
      </c>
      <c r="Y10" s="7">
        <v>24.23</v>
      </c>
    </row>
    <row r="11" spans="1:25" ht="16.5" thickBot="1">
      <c r="A11" s="6" t="s">
        <v>27</v>
      </c>
      <c r="B11" s="3">
        <v>3.43</v>
      </c>
      <c r="C11" s="3">
        <v>4.93</v>
      </c>
      <c r="D11" s="3">
        <v>6.71</v>
      </c>
      <c r="E11" s="4">
        <v>0.28</v>
      </c>
      <c r="F11" s="4">
        <v>0.49</v>
      </c>
      <c r="G11" s="4">
        <v>0.75</v>
      </c>
      <c r="H11" s="3">
        <v>1</v>
      </c>
      <c r="I11" s="3">
        <v>1.39</v>
      </c>
      <c r="J11" s="3">
        <v>1.74</v>
      </c>
      <c r="K11" s="4">
        <v>0.94</v>
      </c>
      <c r="L11" s="4">
        <v>0.99</v>
      </c>
      <c r="M11" s="4">
        <v>1.17</v>
      </c>
      <c r="N11" s="3">
        <v>6.74</v>
      </c>
      <c r="O11" s="3">
        <v>8.04</v>
      </c>
      <c r="P11" s="3">
        <v>9.4</v>
      </c>
      <c r="Q11" s="5">
        <v>3</v>
      </c>
      <c r="R11" s="5">
        <v>0.65</v>
      </c>
      <c r="S11" s="4">
        <v>2</v>
      </c>
      <c r="T11" s="4">
        <f t="shared" si="0"/>
        <v>3.5</v>
      </c>
      <c r="U11" s="4">
        <v>5</v>
      </c>
      <c r="V11" s="6">
        <v>2</v>
      </c>
      <c r="W11" s="7">
        <v>20.76</v>
      </c>
      <c r="X11" s="7">
        <v>24.18</v>
      </c>
      <c r="Y11" s="7">
        <v>26.44</v>
      </c>
    </row>
    <row r="12" spans="1:25" ht="16.5" thickBot="1">
      <c r="A12" s="6" t="s">
        <v>30</v>
      </c>
      <c r="B12" s="3">
        <v>5.29</v>
      </c>
      <c r="C12" s="3">
        <v>5.92</v>
      </c>
      <c r="D12" s="3">
        <v>7.93</v>
      </c>
      <c r="E12" s="4">
        <v>0.25</v>
      </c>
      <c r="F12" s="4">
        <v>0.51</v>
      </c>
      <c r="G12" s="4">
        <v>0.56</v>
      </c>
      <c r="H12" s="3">
        <v>1</v>
      </c>
      <c r="I12" s="3">
        <v>1.48</v>
      </c>
      <c r="J12" s="3">
        <v>1.97</v>
      </c>
      <c r="K12" s="4">
        <v>1.01</v>
      </c>
      <c r="L12" s="4">
        <v>1.07</v>
      </c>
      <c r="M12" s="4">
        <v>1.11</v>
      </c>
      <c r="N12" s="3">
        <v>8</v>
      </c>
      <c r="O12" s="3">
        <v>8.31</v>
      </c>
      <c r="P12" s="3">
        <v>9.51</v>
      </c>
      <c r="Q12" s="5">
        <v>3</v>
      </c>
      <c r="R12" s="5">
        <v>0.65</v>
      </c>
      <c r="S12" s="4">
        <v>2</v>
      </c>
      <c r="T12" s="4">
        <f t="shared" si="0"/>
        <v>3.5</v>
      </c>
      <c r="U12" s="4">
        <v>5</v>
      </c>
      <c r="V12" s="6">
        <v>2</v>
      </c>
      <c r="W12" s="7">
        <v>24</v>
      </c>
      <c r="X12" s="7">
        <v>25.84</v>
      </c>
      <c r="Y12" s="7">
        <v>27.86</v>
      </c>
    </row>
    <row r="13" spans="1:25" ht="16.5" thickBot="1">
      <c r="A13" s="6" t="s">
        <v>29</v>
      </c>
      <c r="B13" s="3">
        <v>4</v>
      </c>
      <c r="C13" s="3">
        <v>5.52</v>
      </c>
      <c r="D13" s="3">
        <v>7.85</v>
      </c>
      <c r="E13" s="4">
        <v>0.81</v>
      </c>
      <c r="F13" s="4">
        <v>1.22</v>
      </c>
      <c r="G13" s="4">
        <v>1.99</v>
      </c>
      <c r="H13" s="3">
        <v>1.46</v>
      </c>
      <c r="I13" s="3">
        <v>2.32</v>
      </c>
      <c r="J13" s="3">
        <v>3.16</v>
      </c>
      <c r="K13" s="4">
        <v>0.94</v>
      </c>
      <c r="L13" s="4">
        <v>1.02</v>
      </c>
      <c r="M13" s="4">
        <v>1.33</v>
      </c>
      <c r="N13" s="3">
        <v>7.14</v>
      </c>
      <c r="O13" s="3">
        <v>8.4</v>
      </c>
      <c r="P13" s="3">
        <v>10.43</v>
      </c>
      <c r="Q13" s="5">
        <v>3</v>
      </c>
      <c r="R13" s="5">
        <v>0.65</v>
      </c>
      <c r="S13" s="4">
        <v>2</v>
      </c>
      <c r="T13" s="4">
        <f t="shared" si="0"/>
        <v>3.5</v>
      </c>
      <c r="U13" s="4">
        <v>5</v>
      </c>
      <c r="V13" s="6">
        <v>2</v>
      </c>
      <c r="W13" s="7">
        <v>22.8</v>
      </c>
      <c r="X13" s="7">
        <v>27.48</v>
      </c>
      <c r="Y13" s="7">
        <v>30.95</v>
      </c>
    </row>
    <row r="14" spans="1:25" ht="16.5" thickBot="1">
      <c r="A14" s="6" t="s">
        <v>28</v>
      </c>
      <c r="B14" s="3">
        <v>1.5</v>
      </c>
      <c r="C14" s="3">
        <v>3.45</v>
      </c>
      <c r="D14" s="3">
        <v>4.49</v>
      </c>
      <c r="E14" s="4">
        <v>0.3</v>
      </c>
      <c r="F14" s="4">
        <v>0.48</v>
      </c>
      <c r="G14" s="4">
        <v>0.82</v>
      </c>
      <c r="H14" s="3">
        <v>0.56</v>
      </c>
      <c r="I14" s="3">
        <v>0.85</v>
      </c>
      <c r="J14" s="3">
        <v>0.89</v>
      </c>
      <c r="K14" s="4">
        <v>0.85</v>
      </c>
      <c r="L14" s="4">
        <v>0.85</v>
      </c>
      <c r="M14" s="4">
        <v>1.11</v>
      </c>
      <c r="N14" s="3">
        <v>3.5</v>
      </c>
      <c r="O14" s="3">
        <v>5.11</v>
      </c>
      <c r="P14" s="3">
        <v>6.22</v>
      </c>
      <c r="Q14" s="5">
        <v>3</v>
      </c>
      <c r="R14" s="5">
        <v>0.65</v>
      </c>
      <c r="S14" s="4">
        <v>2</v>
      </c>
      <c r="T14" s="4">
        <f t="shared" si="0"/>
        <v>3.5</v>
      </c>
      <c r="U14" s="4">
        <v>5</v>
      </c>
      <c r="V14" s="6">
        <v>2</v>
      </c>
      <c r="W14" s="7">
        <v>11.1</v>
      </c>
      <c r="X14" s="7">
        <v>14.02</v>
      </c>
      <c r="Y14" s="7">
        <v>16.8</v>
      </c>
    </row>
    <row r="17" spans="1:12" ht="12.75" customHeight="1">
      <c r="A17" s="51"/>
      <c r="B17" s="93"/>
      <c r="C17" s="93"/>
      <c r="D17" s="93"/>
      <c r="F17" s="93"/>
      <c r="G17" s="93"/>
      <c r="H17" s="93"/>
      <c r="J17" s="93"/>
      <c r="K17" s="93"/>
      <c r="L17" s="93"/>
    </row>
    <row r="18" spans="2:12" ht="12.75">
      <c r="B18" s="93"/>
      <c r="C18" s="93"/>
      <c r="D18" s="93"/>
      <c r="F18" s="93"/>
      <c r="G18" s="93"/>
      <c r="H18" s="93"/>
      <c r="J18" s="93"/>
      <c r="K18" s="93"/>
      <c r="L18" s="93"/>
    </row>
  </sheetData>
  <sheetProtection password="D921" sheet="1" formatCells="0" formatColumns="0" formatRows="0" insertColumns="0" insertRows="0" insertHyperlinks="0" deleteColumns="0" deleteRows="0" sort="0" autoFilter="0" pivotTables="0"/>
  <mergeCells count="13">
    <mergeCell ref="B17:D18"/>
    <mergeCell ref="F17:H18"/>
    <mergeCell ref="J17:L18"/>
    <mergeCell ref="B5:D5"/>
    <mergeCell ref="E5:G5"/>
    <mergeCell ref="H5:J5"/>
    <mergeCell ref="K5:M5"/>
    <mergeCell ref="V5:V6"/>
    <mergeCell ref="S5:U5"/>
    <mergeCell ref="W5:Y5"/>
    <mergeCell ref="N5:P5"/>
    <mergeCell ref="Q5:Q6"/>
    <mergeCell ref="R5:R6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BDI conforme TCU Acórdão 2622/2013</dc:title>
  <dc:subject/>
  <dc:creator>Eng. Iuri - c134985- CEF - GIGOVVC</dc:creator>
  <cp:keywords/>
  <dc:description/>
  <cp:lastModifiedBy>user</cp:lastModifiedBy>
  <cp:lastPrinted>2022-02-08T13:11:38Z</cp:lastPrinted>
  <dcterms:created xsi:type="dcterms:W3CDTF">2009-09-24T19:46:23Z</dcterms:created>
  <dcterms:modified xsi:type="dcterms:W3CDTF">2022-02-23T20:36:24Z</dcterms:modified>
  <cp:category/>
  <cp:version/>
  <cp:contentType/>
  <cp:contentStatus/>
</cp:coreProperties>
</file>